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61"/>
  </bookViews>
  <sheets>
    <sheet name="2273 розподіл" sheetId="16" r:id="rId1"/>
    <sheet name="2273 Хмельницькенергозбут" sheetId="21" r:id="rId2"/>
    <sheet name="2273 ЕКОТЕХНОІНВЕСТ" sheetId="22" r:id="rId3"/>
    <sheet name="2273 Енергогазрезерв" sheetId="17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1" l="1"/>
  <c r="N3" i="21"/>
  <c r="R5" i="16" l="1"/>
  <c r="Q5" i="16"/>
  <c r="AA4" i="21" l="1"/>
  <c r="L3" i="21"/>
  <c r="J3" i="21" l="1"/>
  <c r="H3" i="21" l="1"/>
  <c r="E4" i="21" l="1"/>
  <c r="F3" i="21"/>
  <c r="H48" i="17" l="1"/>
  <c r="H44" i="17"/>
  <c r="H46" i="17"/>
  <c r="H45" i="17"/>
  <c r="H42" i="17"/>
  <c r="H41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G48" i="17"/>
  <c r="G44" i="17"/>
  <c r="G45" i="17"/>
  <c r="G39" i="17"/>
  <c r="G36" i="17"/>
  <c r="G32" i="17"/>
  <c r="G26" i="17"/>
  <c r="G24" i="17"/>
  <c r="G23" i="17"/>
  <c r="G5" i="17"/>
  <c r="G6" i="17"/>
  <c r="G11" i="17"/>
  <c r="G12" i="17"/>
  <c r="G13" i="17"/>
  <c r="G14" i="17"/>
  <c r="G15" i="17"/>
  <c r="G16" i="17"/>
  <c r="G19" i="17"/>
  <c r="E42" i="17"/>
  <c r="E41" i="17"/>
  <c r="E38" i="17"/>
  <c r="E37" i="17"/>
  <c r="E35" i="17"/>
  <c r="G35" i="17" s="1"/>
  <c r="E34" i="17"/>
  <c r="E33" i="17"/>
  <c r="E31" i="17"/>
  <c r="E30" i="17"/>
  <c r="E29" i="17"/>
  <c r="E28" i="17"/>
  <c r="E27" i="17"/>
  <c r="E25" i="17"/>
  <c r="E46" i="17"/>
  <c r="E21" i="17"/>
  <c r="G21" i="17" s="1"/>
  <c r="E20" i="17"/>
  <c r="G20" i="17" s="1"/>
  <c r="E18" i="17"/>
  <c r="G18" i="17" s="1"/>
  <c r="E17" i="17"/>
  <c r="E10" i="17"/>
  <c r="E9" i="17"/>
  <c r="G9" i="17" s="1"/>
  <c r="E8" i="17"/>
  <c r="E7" i="17"/>
  <c r="E4" i="17"/>
  <c r="D3" i="17"/>
  <c r="C30" i="17"/>
  <c r="G30" i="17" s="1"/>
  <c r="C38" i="17" l="1"/>
  <c r="G38" i="17" s="1"/>
  <c r="C37" i="17"/>
  <c r="G37" i="17" s="1"/>
  <c r="C34" i="17"/>
  <c r="G34" i="17" s="1"/>
  <c r="C33" i="17"/>
  <c r="G33" i="17" s="1"/>
  <c r="C31" i="17"/>
  <c r="G31" i="17" s="1"/>
  <c r="C29" i="17"/>
  <c r="G29" i="17" s="1"/>
  <c r="C28" i="17"/>
  <c r="G28" i="17" s="1"/>
  <c r="C27" i="17"/>
  <c r="G27" i="17" s="1"/>
  <c r="C25" i="17"/>
  <c r="G25" i="17" s="1"/>
  <c r="C42" i="17"/>
  <c r="G42" i="17" s="1"/>
  <c r="C41" i="17"/>
  <c r="G41" i="17" s="1"/>
  <c r="C46" i="17"/>
  <c r="G46" i="17" s="1"/>
  <c r="C17" i="17"/>
  <c r="G17" i="17" s="1"/>
  <c r="C10" i="17"/>
  <c r="G10" i="17" s="1"/>
  <c r="C8" i="17"/>
  <c r="G8" i="17" s="1"/>
  <c r="C7" i="17"/>
  <c r="G7" i="17" s="1"/>
  <c r="C4" i="17"/>
  <c r="G4" i="17" s="1"/>
  <c r="B49" i="17"/>
  <c r="F47" i="17"/>
  <c r="E47" i="17"/>
  <c r="D47" i="17"/>
  <c r="C47" i="17"/>
  <c r="G47" i="17"/>
  <c r="F43" i="17"/>
  <c r="E43" i="17"/>
  <c r="D43" i="17"/>
  <c r="H43" i="17"/>
  <c r="F40" i="17"/>
  <c r="E40" i="17"/>
  <c r="D40" i="17"/>
  <c r="F22" i="17"/>
  <c r="E22" i="17"/>
  <c r="D22" i="17"/>
  <c r="H22" i="17"/>
  <c r="D49" i="17" l="1"/>
  <c r="C22" i="17"/>
  <c r="E49" i="17"/>
  <c r="F49" i="17"/>
  <c r="H47" i="17"/>
  <c r="H40" i="17"/>
  <c r="C40" i="17"/>
  <c r="G40" i="17"/>
  <c r="C43" i="17"/>
  <c r="C49" i="17" s="1"/>
  <c r="G43" i="17"/>
  <c r="G22" i="17"/>
  <c r="H49" i="17" l="1"/>
  <c r="G49" i="17"/>
</calcChain>
</file>

<file path=xl/sharedStrings.xml><?xml version="1.0" encoding="utf-8"?>
<sst xmlns="http://schemas.openxmlformats.org/spreadsheetml/2006/main" count="117" uniqueCount="75">
  <si>
    <t>ДНЗ №1</t>
  </si>
  <si>
    <t>ДНЗ №2</t>
  </si>
  <si>
    <t>ДНЗ №3</t>
  </si>
  <si>
    <t>ДНЗ №5</t>
  </si>
  <si>
    <t>ДНЗ №7</t>
  </si>
  <si>
    <t>ДНЗ №8</t>
  </si>
  <si>
    <t>ДНЗ №9</t>
  </si>
  <si>
    <t>ДНЗ №12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</si>
  <si>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</si>
  <si>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</si>
  <si>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</si>
  <si>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</si>
  <si>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</si>
  <si>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</si>
  <si>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</si>
  <si>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ДНЗ №22</t>
  </si>
  <si>
    <t>ДНЗ №23</t>
  </si>
  <si>
    <t>ДНЗ №30</t>
  </si>
  <si>
    <t>ВСЬОГО:</t>
  </si>
  <si>
    <t>СЗОШ №1</t>
  </si>
  <si>
    <t>ЗОШ №2</t>
  </si>
  <si>
    <t>НВК №3</t>
  </si>
  <si>
    <t>СЗОШ №5</t>
  </si>
  <si>
    <t>ЗОШ №6</t>
  </si>
  <si>
    <t>ЗОШ №7</t>
  </si>
  <si>
    <t>ЗОШ №8</t>
  </si>
  <si>
    <t>НВК №9</t>
  </si>
  <si>
    <t>ЗОШ №10</t>
  </si>
  <si>
    <t>ЗОШ №11</t>
  </si>
  <si>
    <t>ЗОШ №12</t>
  </si>
  <si>
    <t>ЗОШ №13</t>
  </si>
  <si>
    <t>НВК №14</t>
  </si>
  <si>
    <t>ЗОШ №15</t>
  </si>
  <si>
    <t>ЗОШ №16</t>
  </si>
  <si>
    <t>ЗОШ №17</t>
  </si>
  <si>
    <t>Ліцей</t>
  </si>
  <si>
    <t>ЦДЮТ</t>
  </si>
  <si>
    <t>ПНВО</t>
  </si>
  <si>
    <t>ДЮСШ №1</t>
  </si>
  <si>
    <t>ДЮСШ №2</t>
  </si>
  <si>
    <t>Січень</t>
  </si>
  <si>
    <t>Березень</t>
  </si>
  <si>
    <t>Квітень</t>
  </si>
  <si>
    <t>Травень</t>
  </si>
  <si>
    <t>Червень</t>
  </si>
  <si>
    <t>Серпень</t>
  </si>
  <si>
    <t>Грудень</t>
  </si>
  <si>
    <t>Спожито</t>
  </si>
  <si>
    <t xml:space="preserve">Залишок </t>
  </si>
  <si>
    <t>РАЗОМ ПО УОН:</t>
  </si>
  <si>
    <t>ГЦГО:</t>
  </si>
  <si>
    <t>Школа мистецтв</t>
  </si>
  <si>
    <t>грн.</t>
  </si>
  <si>
    <t>Електроенергія</t>
  </si>
  <si>
    <t>кВат</t>
  </si>
  <si>
    <t>Травень (за квітень)</t>
  </si>
  <si>
    <t>Квітень (за березень)</t>
  </si>
  <si>
    <t>Червень (за травень)</t>
  </si>
  <si>
    <t>Липень (за червень)</t>
  </si>
  <si>
    <t>Вересень (за серпень)</t>
  </si>
  <si>
    <t>Серпень (за липень)</t>
  </si>
  <si>
    <t>Жовтень (за вересень)</t>
  </si>
  <si>
    <t>Березень (за лютий)</t>
  </si>
  <si>
    <t>Січень (1 пол.)</t>
  </si>
  <si>
    <t>Розподіл е/е</t>
  </si>
  <si>
    <t>дог. №1</t>
  </si>
  <si>
    <t>2,178 грн.</t>
  </si>
  <si>
    <t>Лютий (за Січень 2 пол.)</t>
  </si>
  <si>
    <t>грн</t>
  </si>
  <si>
    <t>1,12143*1,2</t>
  </si>
  <si>
    <t>1,12143*1,3</t>
  </si>
  <si>
    <t>Всього вик.</t>
  </si>
  <si>
    <t>Листопад  (за жовтень)</t>
  </si>
  <si>
    <t>Грудень  (за листопад)</t>
  </si>
  <si>
    <t>Грудень  (за грудень)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</si>
</sst>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3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0" xfId="0" applyNumberFormat="1" applyFont="1"/>
    <xf numFmtId="4" fontId="4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4" fillId="0" borderId="0" xfId="0" applyNumberFormat="1" applyFont="1"/>
    <xf numFmtId="4" fontId="2" fillId="0" borderId="0" xfId="0" applyNumberFormat="1" applyFont="1" applyAlignment="1">
      <alignment horizontal="center"/>
    </xf>
    <xf numFmtId="4" fontId="4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"/>
  <sheetViews>
    <sheetView tabSelected="1" zoomScale="80" zoomScaleNormal="80" workbookViewId="0">
      <selection activeCell="K5" activeCellId="4" sqref="C5 E5 G5 I5 K5"/>
    </sheetView>
  </sheetViews>
  <sheetFormatPr defaultRowHeight="12.75" x14ac:dyDescent="0.2"/>
  <cols>
    <col min="1" max="1" width="20" style="8" customWidth="1"/>
    <col min="2" max="2" width="15.7109375" style="4" customWidth="1"/>
    <col min="3" max="3" width="8.42578125" style="16" customWidth="1"/>
    <col min="4" max="4" width="12.7109375" style="4" customWidth="1"/>
    <col min="5" max="5" width="8.85546875" style="16" customWidth="1"/>
    <col min="6" max="6" width="12.85546875" style="8" customWidth="1"/>
    <col min="7" max="7" width="9" style="16" customWidth="1"/>
    <col min="8" max="8" width="12.7109375" style="8" customWidth="1"/>
    <col min="9" max="9" width="9.28515625" style="16" customWidth="1"/>
    <col min="10" max="14" width="12.7109375" style="8" customWidth="1"/>
    <col min="15" max="15" width="9.85546875" style="16" customWidth="1"/>
    <col min="16" max="16" width="25.28515625" style="8" customWidth="1"/>
    <col min="17" max="17" width="12.7109375" style="8" customWidth="1"/>
    <col min="18" max="18" width="15.7109375" style="8" customWidth="1"/>
    <col min="19" max="19" width="15.7109375" style="4" customWidth="1"/>
    <col min="20" max="16384" width="9.140625" style="4"/>
  </cols>
  <sheetData>
    <row r="2" spans="1:19" s="1" customFormat="1" ht="25.5" customHeight="1" x14ac:dyDescent="0.25">
      <c r="A2" s="20" t="s">
        <v>64</v>
      </c>
      <c r="B2" s="21" t="s">
        <v>65</v>
      </c>
      <c r="C2" s="34" t="s">
        <v>40</v>
      </c>
      <c r="D2" s="35"/>
      <c r="E2" s="34" t="s">
        <v>41</v>
      </c>
      <c r="F2" s="36"/>
      <c r="G2" s="34" t="s">
        <v>42</v>
      </c>
      <c r="H2" s="36"/>
      <c r="I2" s="34" t="s">
        <v>43</v>
      </c>
      <c r="J2" s="36"/>
      <c r="K2" s="34" t="s">
        <v>44</v>
      </c>
      <c r="L2" s="36"/>
      <c r="M2" s="34" t="s">
        <v>45</v>
      </c>
      <c r="N2" s="36"/>
      <c r="O2" s="34" t="s">
        <v>46</v>
      </c>
      <c r="P2" s="36"/>
      <c r="Q2" s="34" t="s">
        <v>47</v>
      </c>
      <c r="R2" s="36"/>
      <c r="S2" s="22" t="s">
        <v>48</v>
      </c>
    </row>
    <row r="3" spans="1:19" s="1" customFormat="1" ht="21" customHeight="1" x14ac:dyDescent="0.25">
      <c r="A3" s="22"/>
      <c r="B3" s="22"/>
      <c r="C3" s="12" t="s">
        <v>54</v>
      </c>
      <c r="D3" s="22" t="s">
        <v>68</v>
      </c>
      <c r="E3" s="12" t="s">
        <v>54</v>
      </c>
      <c r="F3" s="22" t="s">
        <v>68</v>
      </c>
      <c r="G3" s="12" t="s">
        <v>54</v>
      </c>
      <c r="H3" s="24" t="s">
        <v>52</v>
      </c>
      <c r="I3" s="12" t="s">
        <v>54</v>
      </c>
      <c r="J3" s="30" t="s">
        <v>52</v>
      </c>
      <c r="K3" s="12" t="s">
        <v>54</v>
      </c>
      <c r="L3" s="32" t="s">
        <v>52</v>
      </c>
      <c r="M3" s="12" t="s">
        <v>54</v>
      </c>
      <c r="N3" s="33" t="s">
        <v>52</v>
      </c>
      <c r="O3" s="12" t="s">
        <v>54</v>
      </c>
      <c r="P3" s="22"/>
      <c r="Q3" s="22" t="s">
        <v>54</v>
      </c>
      <c r="R3" s="22"/>
      <c r="S3" s="22"/>
    </row>
    <row r="4" spans="1:19" s="1" customFormat="1" ht="21" customHeight="1" x14ac:dyDescent="0.25">
      <c r="A4" s="29"/>
      <c r="B4" s="29"/>
      <c r="C4" s="37" t="s">
        <v>69</v>
      </c>
      <c r="D4" s="38"/>
      <c r="E4" s="37" t="s">
        <v>70</v>
      </c>
      <c r="F4" s="38"/>
      <c r="G4" s="37" t="s">
        <v>69</v>
      </c>
      <c r="H4" s="38"/>
      <c r="I4" s="37" t="s">
        <v>69</v>
      </c>
      <c r="J4" s="38"/>
      <c r="K4" s="37" t="s">
        <v>69</v>
      </c>
      <c r="L4" s="38"/>
      <c r="M4" s="37" t="s">
        <v>69</v>
      </c>
      <c r="N4" s="38"/>
      <c r="O4" s="12"/>
      <c r="P4" s="29"/>
      <c r="Q4" s="29"/>
      <c r="R4" s="29"/>
      <c r="S4" s="29"/>
    </row>
    <row r="5" spans="1:19" x14ac:dyDescent="0.2">
      <c r="A5" s="2" t="s">
        <v>30</v>
      </c>
      <c r="B5" s="3"/>
      <c r="C5" s="13">
        <v>3127</v>
      </c>
      <c r="D5" s="2">
        <v>4208.05</v>
      </c>
      <c r="E5" s="13">
        <v>3899</v>
      </c>
      <c r="F5" s="2">
        <v>5246.95</v>
      </c>
      <c r="G5" s="13">
        <v>2309</v>
      </c>
      <c r="H5" s="2">
        <v>3107.26</v>
      </c>
      <c r="I5" s="13">
        <v>278</v>
      </c>
      <c r="J5" s="2">
        <v>374.11</v>
      </c>
      <c r="K5" s="13">
        <v>1361</v>
      </c>
      <c r="L5" s="2">
        <v>1831.52</v>
      </c>
      <c r="M5" s="13"/>
      <c r="N5" s="2"/>
      <c r="O5" s="13"/>
      <c r="P5" s="2"/>
      <c r="Q5" s="13">
        <f t="shared" ref="Q5" si="0">C5+E5+G5+I5+O5+K5</f>
        <v>10974</v>
      </c>
      <c r="R5" s="2">
        <f t="shared" ref="R5" si="1">D5+F5+H5+J5+P5+L5</f>
        <v>14767.890000000001</v>
      </c>
      <c r="S5" s="3"/>
    </row>
  </sheetData>
  <mergeCells count="14">
    <mergeCell ref="Q2:R2"/>
    <mergeCell ref="O2:P2"/>
    <mergeCell ref="G4:H4"/>
    <mergeCell ref="C4:D4"/>
    <mergeCell ref="E4:F4"/>
    <mergeCell ref="I2:J2"/>
    <mergeCell ref="E2:F2"/>
    <mergeCell ref="G2:H2"/>
    <mergeCell ref="C2:D2"/>
    <mergeCell ref="K2:L2"/>
    <mergeCell ref="I4:J4"/>
    <mergeCell ref="K4:L4"/>
    <mergeCell ref="M2:N2"/>
    <mergeCell ref="M4:N4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"/>
  <sheetViews>
    <sheetView zoomScale="80" zoomScaleNormal="80" zoomScaleSheetLayoutView="80" workbookViewId="0">
      <selection activeCell="A5" sqref="A5:XFD25"/>
    </sheetView>
  </sheetViews>
  <sheetFormatPr defaultRowHeight="12.75" x14ac:dyDescent="0.2"/>
  <cols>
    <col min="1" max="1" width="22.28515625" style="8" customWidth="1"/>
    <col min="2" max="2" width="15" style="4" bestFit="1" customWidth="1"/>
    <col min="3" max="3" width="8.42578125" style="16" customWidth="1"/>
    <col min="4" max="4" width="12.7109375" style="4" customWidth="1"/>
    <col min="5" max="5" width="8.42578125" style="16" customWidth="1"/>
    <col min="6" max="6" width="12.7109375" style="4" customWidth="1"/>
    <col min="7" max="7" width="8.42578125" style="16" customWidth="1"/>
    <col min="8" max="8" width="12.7109375" style="4" customWidth="1"/>
    <col min="9" max="9" width="8.42578125" style="16" customWidth="1"/>
    <col min="10" max="10" width="12.7109375" style="4" customWidth="1"/>
    <col min="11" max="11" width="8.42578125" style="16" customWidth="1"/>
    <col min="12" max="12" width="12.7109375" style="4" customWidth="1"/>
    <col min="13" max="13" width="8.42578125" style="16" customWidth="1"/>
    <col min="14" max="14" width="16.7109375" style="4" customWidth="1"/>
    <col min="15" max="15" width="8.42578125" style="16" customWidth="1"/>
    <col min="16" max="16" width="12.7109375" style="4" customWidth="1"/>
    <col min="17" max="17" width="8.42578125" style="16" customWidth="1"/>
    <col min="18" max="18" width="12.7109375" style="4" customWidth="1"/>
    <col min="19" max="19" width="8.42578125" style="16" customWidth="1"/>
    <col min="20" max="20" width="12.7109375" style="4" customWidth="1"/>
    <col min="21" max="21" width="8.42578125" style="16" customWidth="1"/>
    <col min="22" max="22" width="12.7109375" style="4" customWidth="1"/>
    <col min="23" max="23" width="8.42578125" style="16" customWidth="1"/>
    <col min="24" max="24" width="13.5703125" style="4" customWidth="1"/>
    <col min="25" max="25" width="8.42578125" style="16" customWidth="1"/>
    <col min="26" max="26" width="12.7109375" style="4" customWidth="1"/>
    <col min="27" max="27" width="14.7109375" style="4" customWidth="1"/>
    <col min="28" max="28" width="15.5703125" style="4" customWidth="1"/>
    <col min="29" max="29" width="9.140625" style="4"/>
    <col min="30" max="30" width="10.7109375" style="4" customWidth="1"/>
    <col min="31" max="16384" width="9.140625" style="4"/>
  </cols>
  <sheetData>
    <row r="2" spans="1:28" s="1" customFormat="1" ht="25.5" customHeight="1" x14ac:dyDescent="0.25">
      <c r="A2" s="20" t="s">
        <v>53</v>
      </c>
      <c r="B2" s="21">
        <v>21900150</v>
      </c>
      <c r="C2" s="34" t="s">
        <v>67</v>
      </c>
      <c r="D2" s="36"/>
      <c r="E2" s="34" t="s">
        <v>62</v>
      </c>
      <c r="F2" s="36"/>
      <c r="G2" s="34" t="s">
        <v>56</v>
      </c>
      <c r="H2" s="36"/>
      <c r="I2" s="34" t="s">
        <v>55</v>
      </c>
      <c r="J2" s="36"/>
      <c r="K2" s="34" t="s">
        <v>57</v>
      </c>
      <c r="L2" s="36"/>
      <c r="M2" s="34" t="s">
        <v>58</v>
      </c>
      <c r="N2" s="36"/>
      <c r="O2" s="34" t="s">
        <v>60</v>
      </c>
      <c r="P2" s="36"/>
      <c r="Q2" s="34" t="s">
        <v>59</v>
      </c>
      <c r="R2" s="36"/>
      <c r="S2" s="34" t="s">
        <v>61</v>
      </c>
      <c r="T2" s="36"/>
      <c r="U2" s="34" t="s">
        <v>72</v>
      </c>
      <c r="V2" s="36"/>
      <c r="W2" s="34" t="s">
        <v>73</v>
      </c>
      <c r="X2" s="36"/>
      <c r="Y2" s="34" t="s">
        <v>74</v>
      </c>
      <c r="Z2" s="36"/>
      <c r="AA2" s="31" t="s">
        <v>71</v>
      </c>
      <c r="AB2" s="25" t="s">
        <v>48</v>
      </c>
    </row>
    <row r="3" spans="1:28" s="1" customFormat="1" ht="15" customHeight="1" x14ac:dyDescent="0.25">
      <c r="A3" s="25"/>
      <c r="B3" s="25"/>
      <c r="C3" s="12" t="s">
        <v>54</v>
      </c>
      <c r="D3" s="19" t="s">
        <v>66</v>
      </c>
      <c r="E3" s="12" t="s">
        <v>54</v>
      </c>
      <c r="F3" s="28">
        <f>2.395584</f>
        <v>2.3955839999999999</v>
      </c>
      <c r="G3" s="12" t="s">
        <v>54</v>
      </c>
      <c r="H3" s="28">
        <f>2.395584</f>
        <v>2.3955839999999999</v>
      </c>
      <c r="I3" s="12" t="s">
        <v>54</v>
      </c>
      <c r="J3" s="28">
        <f>2.395584</f>
        <v>2.3955839999999999</v>
      </c>
      <c r="K3" s="12" t="s">
        <v>54</v>
      </c>
      <c r="L3" s="28">
        <f>2.395584</f>
        <v>2.3955839999999999</v>
      </c>
      <c r="M3" s="12" t="s">
        <v>54</v>
      </c>
      <c r="N3" s="28">
        <f>1.99632*1.2</f>
        <v>2.3955839999999999</v>
      </c>
      <c r="O3" s="12" t="s">
        <v>54</v>
      </c>
      <c r="P3" s="28"/>
      <c r="Q3" s="12" t="s">
        <v>54</v>
      </c>
      <c r="R3" s="28"/>
      <c r="S3" s="12" t="s">
        <v>54</v>
      </c>
      <c r="T3" s="28"/>
      <c r="U3" s="12" t="s">
        <v>54</v>
      </c>
      <c r="V3" s="28"/>
      <c r="W3" s="12" t="s">
        <v>54</v>
      </c>
      <c r="X3" s="28"/>
      <c r="Y3" s="12" t="s">
        <v>54</v>
      </c>
      <c r="Z3" s="28"/>
      <c r="AA3" s="28"/>
      <c r="AB3" s="25"/>
    </row>
    <row r="4" spans="1:28" x14ac:dyDescent="0.2">
      <c r="A4" s="2" t="s">
        <v>30</v>
      </c>
      <c r="B4" s="3"/>
      <c r="C4" s="13">
        <v>1204</v>
      </c>
      <c r="D4" s="2">
        <v>2622.31</v>
      </c>
      <c r="E4" s="13">
        <f>540+3041</f>
        <v>3581</v>
      </c>
      <c r="F4" s="2">
        <v>8578.59</v>
      </c>
      <c r="G4" s="13">
        <v>2230</v>
      </c>
      <c r="H4" s="2">
        <v>5342.15</v>
      </c>
      <c r="I4" s="13">
        <v>618</v>
      </c>
      <c r="J4" s="2">
        <v>1480.47</v>
      </c>
      <c r="K4" s="13">
        <v>2109</v>
      </c>
      <c r="L4" s="2">
        <v>5052.29</v>
      </c>
      <c r="M4" s="27">
        <f>253+1170-250</f>
        <v>1173</v>
      </c>
      <c r="N4" s="2">
        <v>2810.02</v>
      </c>
      <c r="O4" s="13"/>
      <c r="P4" s="2"/>
      <c r="Q4" s="13"/>
      <c r="R4" s="2"/>
      <c r="S4" s="13"/>
      <c r="T4" s="2"/>
      <c r="U4" s="13"/>
      <c r="V4" s="2"/>
      <c r="W4" s="13"/>
      <c r="X4" s="2"/>
      <c r="Y4" s="13"/>
      <c r="Z4" s="2"/>
      <c r="AA4" s="2">
        <f t="shared" ref="AA4" si="0">D4+F4+H4+J4+L4+N4+P4+R4+T4+V4+X4+Z4</f>
        <v>25885.83</v>
      </c>
      <c r="AB4" s="3"/>
    </row>
  </sheetData>
  <mergeCells count="12">
    <mergeCell ref="C2:D2"/>
    <mergeCell ref="E2:F2"/>
    <mergeCell ref="G2:H2"/>
    <mergeCell ref="I2:J2"/>
    <mergeCell ref="K2:L2"/>
    <mergeCell ref="W2:X2"/>
    <mergeCell ref="Y2:Z2"/>
    <mergeCell ref="M2:N2"/>
    <mergeCell ref="O2:P2"/>
    <mergeCell ref="Q2:R2"/>
    <mergeCell ref="S2:T2"/>
    <mergeCell ref="U2:V2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zoomScale="80" zoomScaleNormal="80" workbookViewId="0">
      <selection activeCell="A5" sqref="A5:XFD19"/>
    </sheetView>
  </sheetViews>
  <sheetFormatPr defaultRowHeight="12.75" x14ac:dyDescent="0.2"/>
  <cols>
    <col min="1" max="1" width="16.7109375" style="8" customWidth="1"/>
    <col min="2" max="2" width="15.7109375" style="4" customWidth="1"/>
    <col min="3" max="3" width="11.140625" style="16" customWidth="1"/>
    <col min="4" max="4" width="12.7109375" style="8" customWidth="1"/>
    <col min="5" max="16384" width="9.140625" style="4"/>
  </cols>
  <sheetData>
    <row r="2" spans="1:4" s="1" customFormat="1" ht="25.5" customHeight="1" x14ac:dyDescent="0.25">
      <c r="A2" s="20" t="s">
        <v>53</v>
      </c>
      <c r="B2" s="21"/>
      <c r="C2" s="34" t="s">
        <v>63</v>
      </c>
      <c r="D2" s="36"/>
    </row>
    <row r="3" spans="1:4" s="1" customFormat="1" ht="15" customHeight="1" x14ac:dyDescent="0.25">
      <c r="A3" s="26"/>
      <c r="B3" s="26"/>
      <c r="C3" s="12" t="s">
        <v>54</v>
      </c>
      <c r="D3" s="26"/>
    </row>
    <row r="4" spans="1:4" x14ac:dyDescent="0.2">
      <c r="A4" s="2" t="s">
        <v>30</v>
      </c>
      <c r="B4" s="3"/>
      <c r="C4" s="13">
        <v>982</v>
      </c>
      <c r="D4" s="2">
        <v>1983.04</v>
      </c>
    </row>
  </sheetData>
  <mergeCells count="1">
    <mergeCell ref="C2:D2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opLeftCell="A13" zoomScale="80" zoomScaleNormal="80" workbookViewId="0">
      <selection activeCell="E22" sqref="E22"/>
    </sheetView>
  </sheetViews>
  <sheetFormatPr defaultRowHeight="12.75" x14ac:dyDescent="0.2"/>
  <cols>
    <col min="1" max="1" width="16.7109375" style="8" customWidth="1"/>
    <col min="2" max="2" width="15.7109375" style="4" customWidth="1"/>
    <col min="3" max="3" width="8.42578125" style="16" customWidth="1"/>
    <col min="4" max="4" width="12.7109375" style="4" customWidth="1"/>
    <col min="5" max="5" width="8.85546875" style="16" customWidth="1"/>
    <col min="6" max="7" width="12.7109375" style="8" customWidth="1"/>
    <col min="8" max="8" width="15.7109375" style="8" customWidth="1"/>
    <col min="9" max="16384" width="9.140625" style="4"/>
  </cols>
  <sheetData>
    <row r="2" spans="1:8" s="1" customFormat="1" ht="25.5" customHeight="1" x14ac:dyDescent="0.25">
      <c r="A2" s="20" t="s">
        <v>53</v>
      </c>
      <c r="B2" s="21"/>
      <c r="C2" s="34" t="s">
        <v>40</v>
      </c>
      <c r="D2" s="35"/>
      <c r="E2" s="35"/>
      <c r="F2" s="36"/>
      <c r="G2" s="34" t="s">
        <v>47</v>
      </c>
      <c r="H2" s="36"/>
    </row>
    <row r="3" spans="1:8" s="1" customFormat="1" ht="15" customHeight="1" x14ac:dyDescent="0.25">
      <c r="A3" s="23"/>
      <c r="B3" s="23"/>
      <c r="C3" s="12" t="s">
        <v>54</v>
      </c>
      <c r="D3" s="23">
        <f>1.81583*1.2</f>
        <v>2.1789960000000002</v>
      </c>
      <c r="E3" s="12" t="s">
        <v>54</v>
      </c>
      <c r="F3" s="23"/>
      <c r="G3" s="23" t="s">
        <v>54</v>
      </c>
      <c r="H3" s="23"/>
    </row>
    <row r="4" spans="1:8" x14ac:dyDescent="0.2">
      <c r="A4" s="2" t="s">
        <v>0</v>
      </c>
      <c r="B4" s="3"/>
      <c r="C4" s="13">
        <f>260+274</f>
        <v>534</v>
      </c>
      <c r="D4" s="2">
        <v>1163.58</v>
      </c>
      <c r="E4" s="13">
        <f>1163+765</f>
        <v>1928</v>
      </c>
      <c r="F4" s="2">
        <v>4201.1000000000004</v>
      </c>
      <c r="G4" s="13">
        <f>C4+E4</f>
        <v>2462</v>
      </c>
      <c r="H4" s="2">
        <f>D4+F4</f>
        <v>5364.68</v>
      </c>
    </row>
    <row r="5" spans="1:8" x14ac:dyDescent="0.2">
      <c r="A5" s="2" t="s">
        <v>1</v>
      </c>
      <c r="B5" s="3"/>
      <c r="C5" s="13">
        <v>776</v>
      </c>
      <c r="D5" s="2">
        <v>1690.9</v>
      </c>
      <c r="E5" s="13">
        <v>2005</v>
      </c>
      <c r="F5" s="2">
        <v>4368.8900000000003</v>
      </c>
      <c r="G5" s="13">
        <f t="shared" ref="G5:G42" si="0">C5+E5</f>
        <v>2781</v>
      </c>
      <c r="H5" s="2">
        <f t="shared" ref="H5:H21" si="1">D5+F5</f>
        <v>6059.7900000000009</v>
      </c>
    </row>
    <row r="6" spans="1:8" x14ac:dyDescent="0.2">
      <c r="A6" s="2" t="s">
        <v>2</v>
      </c>
      <c r="B6" s="3"/>
      <c r="C6" s="13">
        <v>282</v>
      </c>
      <c r="D6" s="2">
        <v>614.48</v>
      </c>
      <c r="E6" s="13">
        <v>887</v>
      </c>
      <c r="F6" s="2">
        <v>1932.77</v>
      </c>
      <c r="G6" s="13">
        <f t="shared" si="0"/>
        <v>1169</v>
      </c>
      <c r="H6" s="2">
        <f t="shared" si="1"/>
        <v>2547.25</v>
      </c>
    </row>
    <row r="7" spans="1:8" x14ac:dyDescent="0.2">
      <c r="A7" s="2" t="s">
        <v>3</v>
      </c>
      <c r="B7" s="3"/>
      <c r="C7" s="13">
        <f>798+390</f>
        <v>1188</v>
      </c>
      <c r="D7" s="2">
        <v>2588.65</v>
      </c>
      <c r="E7" s="13">
        <f>1643+1516</f>
        <v>3159</v>
      </c>
      <c r="F7" s="2">
        <v>6883.45</v>
      </c>
      <c r="G7" s="13">
        <f t="shared" si="0"/>
        <v>4347</v>
      </c>
      <c r="H7" s="2">
        <f t="shared" si="1"/>
        <v>9472.1</v>
      </c>
    </row>
    <row r="8" spans="1:8" x14ac:dyDescent="0.2">
      <c r="A8" s="2" t="s">
        <v>4</v>
      </c>
      <c r="B8" s="3"/>
      <c r="C8" s="13">
        <f>504+245</f>
        <v>749</v>
      </c>
      <c r="D8" s="2">
        <v>1632.07</v>
      </c>
      <c r="E8" s="13">
        <f>2020+455</f>
        <v>2475</v>
      </c>
      <c r="F8" s="2">
        <v>5393.02</v>
      </c>
      <c r="G8" s="13">
        <f t="shared" si="0"/>
        <v>3224</v>
      </c>
      <c r="H8" s="2">
        <f t="shared" si="1"/>
        <v>7025.09</v>
      </c>
    </row>
    <row r="9" spans="1:8" x14ac:dyDescent="0.2">
      <c r="A9" s="2" t="s">
        <v>5</v>
      </c>
      <c r="B9" s="3"/>
      <c r="C9" s="13">
        <v>466</v>
      </c>
      <c r="D9" s="2">
        <v>1015.41</v>
      </c>
      <c r="E9" s="13">
        <f>1005+1541</f>
        <v>2546</v>
      </c>
      <c r="F9" s="2">
        <v>5547.72</v>
      </c>
      <c r="G9" s="13">
        <f t="shared" si="0"/>
        <v>3012</v>
      </c>
      <c r="H9" s="2">
        <f t="shared" si="1"/>
        <v>6563.13</v>
      </c>
    </row>
    <row r="10" spans="1:8" x14ac:dyDescent="0.2">
      <c r="A10" s="2" t="s">
        <v>6</v>
      </c>
      <c r="B10" s="3"/>
      <c r="C10" s="13">
        <f>441+631</f>
        <v>1072</v>
      </c>
      <c r="D10" s="2">
        <v>2335.88</v>
      </c>
      <c r="E10" s="13">
        <f>2171+1428</f>
        <v>3599</v>
      </c>
      <c r="F10" s="2">
        <v>7842.21</v>
      </c>
      <c r="G10" s="13">
        <f t="shared" si="0"/>
        <v>4671</v>
      </c>
      <c r="H10" s="2">
        <f t="shared" si="1"/>
        <v>10178.09</v>
      </c>
    </row>
    <row r="11" spans="1:8" x14ac:dyDescent="0.2">
      <c r="A11" s="2" t="s">
        <v>7</v>
      </c>
      <c r="B11" s="3"/>
      <c r="C11" s="13">
        <v>367</v>
      </c>
      <c r="D11" s="2">
        <v>799.69</v>
      </c>
      <c r="E11" s="13">
        <v>1423</v>
      </c>
      <c r="F11" s="2">
        <v>3100.71</v>
      </c>
      <c r="G11" s="13">
        <f t="shared" si="0"/>
        <v>1790</v>
      </c>
      <c r="H11" s="2">
        <f t="shared" si="1"/>
        <v>3900.4</v>
      </c>
    </row>
    <row r="12" spans="1:8" x14ac:dyDescent="0.2">
      <c r="A12" s="2" t="s">
        <v>8</v>
      </c>
      <c r="B12" s="3"/>
      <c r="C12" s="13">
        <v>134</v>
      </c>
      <c r="D12" s="2">
        <v>291.99</v>
      </c>
      <c r="E12" s="13">
        <v>2012</v>
      </c>
      <c r="F12" s="2">
        <v>4384.1400000000003</v>
      </c>
      <c r="G12" s="13">
        <f t="shared" si="0"/>
        <v>2146</v>
      </c>
      <c r="H12" s="2">
        <f t="shared" si="1"/>
        <v>4676.13</v>
      </c>
    </row>
    <row r="13" spans="1:8" x14ac:dyDescent="0.2">
      <c r="A13" s="2" t="s">
        <v>9</v>
      </c>
      <c r="B13" s="3"/>
      <c r="C13" s="13">
        <v>584</v>
      </c>
      <c r="D13" s="2">
        <v>1272.53</v>
      </c>
      <c r="E13" s="13">
        <v>3151</v>
      </c>
      <c r="F13" s="2">
        <v>6866.02</v>
      </c>
      <c r="G13" s="13">
        <f t="shared" si="0"/>
        <v>3735</v>
      </c>
      <c r="H13" s="2">
        <f t="shared" si="1"/>
        <v>8138.55</v>
      </c>
    </row>
    <row r="14" spans="1:8" x14ac:dyDescent="0.2">
      <c r="A14" s="2" t="s">
        <v>10</v>
      </c>
      <c r="B14" s="3"/>
      <c r="C14" s="13">
        <v>619</v>
      </c>
      <c r="D14" s="2">
        <v>1348.8</v>
      </c>
      <c r="E14" s="13">
        <v>1881</v>
      </c>
      <c r="F14" s="2">
        <v>4098.6899999999996</v>
      </c>
      <c r="G14" s="13">
        <f t="shared" si="0"/>
        <v>2500</v>
      </c>
      <c r="H14" s="2">
        <f t="shared" si="1"/>
        <v>5447.49</v>
      </c>
    </row>
    <row r="15" spans="1:8" x14ac:dyDescent="0.2">
      <c r="A15" s="2" t="s">
        <v>11</v>
      </c>
      <c r="B15" s="3"/>
      <c r="C15" s="13">
        <v>541</v>
      </c>
      <c r="D15" s="2">
        <v>1178.8399999999999</v>
      </c>
      <c r="E15" s="13">
        <v>1900</v>
      </c>
      <c r="F15" s="2">
        <v>4140.09</v>
      </c>
      <c r="G15" s="13">
        <f t="shared" si="0"/>
        <v>2441</v>
      </c>
      <c r="H15" s="2">
        <f t="shared" si="1"/>
        <v>5318.93</v>
      </c>
    </row>
    <row r="16" spans="1:8" x14ac:dyDescent="0.2">
      <c r="A16" s="2" t="s">
        <v>12</v>
      </c>
      <c r="B16" s="3"/>
      <c r="C16" s="13">
        <v>884</v>
      </c>
      <c r="D16" s="2">
        <v>1926.23</v>
      </c>
      <c r="E16" s="13">
        <v>2047</v>
      </c>
      <c r="F16" s="2">
        <v>4460.3999999999996</v>
      </c>
      <c r="G16" s="13">
        <f t="shared" si="0"/>
        <v>2931</v>
      </c>
      <c r="H16" s="2">
        <f t="shared" si="1"/>
        <v>6386.6299999999992</v>
      </c>
    </row>
    <row r="17" spans="1:8" x14ac:dyDescent="0.2">
      <c r="A17" s="2" t="s">
        <v>13</v>
      </c>
      <c r="B17" s="3"/>
      <c r="C17" s="13">
        <f>1306+934</f>
        <v>2240</v>
      </c>
      <c r="D17" s="2">
        <v>4880.95</v>
      </c>
      <c r="E17" s="13">
        <f>1663+1709</f>
        <v>3372</v>
      </c>
      <c r="F17" s="2">
        <v>7347.57</v>
      </c>
      <c r="G17" s="13">
        <f t="shared" si="0"/>
        <v>5612</v>
      </c>
      <c r="H17" s="2">
        <f t="shared" si="1"/>
        <v>12228.52</v>
      </c>
    </row>
    <row r="18" spans="1:8" x14ac:dyDescent="0.2">
      <c r="A18" s="2" t="s">
        <v>14</v>
      </c>
      <c r="B18" s="3"/>
      <c r="C18" s="13">
        <v>5</v>
      </c>
      <c r="D18" s="2">
        <v>10.9</v>
      </c>
      <c r="E18" s="13">
        <f>2012+1628</f>
        <v>3640</v>
      </c>
      <c r="F18" s="2">
        <v>7931.55</v>
      </c>
      <c r="G18" s="13">
        <f t="shared" si="0"/>
        <v>3645</v>
      </c>
      <c r="H18" s="2">
        <f t="shared" si="1"/>
        <v>7942.45</v>
      </c>
    </row>
    <row r="19" spans="1:8" x14ac:dyDescent="0.2">
      <c r="A19" s="2" t="s">
        <v>15</v>
      </c>
      <c r="B19" s="3"/>
      <c r="C19" s="13">
        <v>749</v>
      </c>
      <c r="D19" s="2">
        <v>1632.07</v>
      </c>
      <c r="E19" s="13">
        <v>1744</v>
      </c>
      <c r="F19" s="2">
        <v>3800.17</v>
      </c>
      <c r="G19" s="13">
        <f t="shared" si="0"/>
        <v>2493</v>
      </c>
      <c r="H19" s="2">
        <f t="shared" si="1"/>
        <v>5432.24</v>
      </c>
    </row>
    <row r="20" spans="1:8" x14ac:dyDescent="0.2">
      <c r="A20" s="2" t="s">
        <v>16</v>
      </c>
      <c r="B20" s="3"/>
      <c r="C20" s="13">
        <v>27</v>
      </c>
      <c r="D20" s="2">
        <v>58.83</v>
      </c>
      <c r="E20" s="13">
        <f>403+1691</f>
        <v>2094</v>
      </c>
      <c r="F20" s="2">
        <v>4562.82</v>
      </c>
      <c r="G20" s="13">
        <f t="shared" si="0"/>
        <v>2121</v>
      </c>
      <c r="H20" s="2">
        <f t="shared" si="1"/>
        <v>4621.6499999999996</v>
      </c>
    </row>
    <row r="21" spans="1:8" x14ac:dyDescent="0.2">
      <c r="A21" s="2" t="s">
        <v>17</v>
      </c>
      <c r="B21" s="3"/>
      <c r="C21" s="13">
        <v>254</v>
      </c>
      <c r="D21" s="2">
        <v>553.46</v>
      </c>
      <c r="E21" s="13">
        <f>343+1567</f>
        <v>1910</v>
      </c>
      <c r="F21" s="2">
        <v>4161.88</v>
      </c>
      <c r="G21" s="13">
        <f t="shared" si="0"/>
        <v>2164</v>
      </c>
      <c r="H21" s="2">
        <f t="shared" si="1"/>
        <v>4715.34</v>
      </c>
    </row>
    <row r="22" spans="1:8" s="7" customFormat="1" ht="15" x14ac:dyDescent="0.25">
      <c r="A22" s="5" t="s">
        <v>18</v>
      </c>
      <c r="B22" s="6"/>
      <c r="C22" s="14">
        <f t="shared" ref="C22:H22" si="2">SUM(C4:C21)</f>
        <v>11471</v>
      </c>
      <c r="D22" s="6">
        <f t="shared" si="2"/>
        <v>24995.260000000006</v>
      </c>
      <c r="E22" s="14">
        <f t="shared" si="2"/>
        <v>41773</v>
      </c>
      <c r="F22" s="6">
        <f t="shared" si="2"/>
        <v>91023.200000000012</v>
      </c>
      <c r="G22" s="17">
        <f t="shared" si="2"/>
        <v>53244</v>
      </c>
      <c r="H22" s="6">
        <f t="shared" si="2"/>
        <v>116018.46</v>
      </c>
    </row>
    <row r="23" spans="1:8" x14ac:dyDescent="0.2">
      <c r="A23" s="2" t="s">
        <v>19</v>
      </c>
      <c r="B23" s="3"/>
      <c r="C23" s="13">
        <v>1010</v>
      </c>
      <c r="D23" s="2">
        <v>2200.79</v>
      </c>
      <c r="E23" s="13">
        <v>2837</v>
      </c>
      <c r="F23" s="2">
        <v>6181.81</v>
      </c>
      <c r="G23" s="13">
        <f t="shared" si="0"/>
        <v>3847</v>
      </c>
      <c r="H23" s="2">
        <f t="shared" ref="H23:H39" si="3">D23+F23</f>
        <v>8382.6</v>
      </c>
    </row>
    <row r="24" spans="1:8" x14ac:dyDescent="0.2">
      <c r="A24" s="2" t="s">
        <v>20</v>
      </c>
      <c r="B24" s="3"/>
      <c r="C24" s="13">
        <v>578</v>
      </c>
      <c r="D24" s="2">
        <v>1259.46</v>
      </c>
      <c r="E24" s="13">
        <v>545</v>
      </c>
      <c r="F24" s="2">
        <v>1187.55</v>
      </c>
      <c r="G24" s="13">
        <f t="shared" si="0"/>
        <v>1123</v>
      </c>
      <c r="H24" s="2">
        <f t="shared" si="3"/>
        <v>2447.0100000000002</v>
      </c>
    </row>
    <row r="25" spans="1:8" x14ac:dyDescent="0.2">
      <c r="A25" s="2" t="s">
        <v>21</v>
      </c>
      <c r="B25" s="3"/>
      <c r="C25" s="13">
        <f>124+80+85+21</f>
        <v>310</v>
      </c>
      <c r="D25" s="2">
        <v>675.49</v>
      </c>
      <c r="E25" s="13">
        <f>570+1334+444+38</f>
        <v>2386</v>
      </c>
      <c r="F25" s="2">
        <v>5199.08</v>
      </c>
      <c r="G25" s="13">
        <f t="shared" si="0"/>
        <v>2696</v>
      </c>
      <c r="H25" s="2">
        <f t="shared" si="3"/>
        <v>5874.57</v>
      </c>
    </row>
    <row r="26" spans="1:8" x14ac:dyDescent="0.2">
      <c r="A26" s="2" t="s">
        <v>22</v>
      </c>
      <c r="B26" s="3"/>
      <c r="C26" s="13">
        <v>1897</v>
      </c>
      <c r="D26" s="2">
        <v>4133.5600000000004</v>
      </c>
      <c r="E26" s="13">
        <v>3368</v>
      </c>
      <c r="F26" s="2">
        <v>7338.86</v>
      </c>
      <c r="G26" s="13">
        <f t="shared" si="0"/>
        <v>5265</v>
      </c>
      <c r="H26" s="2">
        <f t="shared" si="3"/>
        <v>11472.42</v>
      </c>
    </row>
    <row r="27" spans="1:8" x14ac:dyDescent="0.2">
      <c r="A27" s="2" t="s">
        <v>23</v>
      </c>
      <c r="B27" s="3"/>
      <c r="C27" s="13">
        <f>184+545</f>
        <v>729</v>
      </c>
      <c r="D27" s="2">
        <v>1588.49</v>
      </c>
      <c r="E27" s="13">
        <f>1214+1176</f>
        <v>2390</v>
      </c>
      <c r="F27" s="2">
        <v>5207.8</v>
      </c>
      <c r="G27" s="13">
        <f t="shared" si="0"/>
        <v>3119</v>
      </c>
      <c r="H27" s="2">
        <f t="shared" si="3"/>
        <v>6796.29</v>
      </c>
    </row>
    <row r="28" spans="1:8" x14ac:dyDescent="0.2">
      <c r="A28" s="2" t="s">
        <v>24</v>
      </c>
      <c r="B28" s="3"/>
      <c r="C28" s="13">
        <f>325+485</f>
        <v>810</v>
      </c>
      <c r="D28" s="2">
        <v>1764.99</v>
      </c>
      <c r="E28" s="13">
        <f>1650+1242</f>
        <v>2892</v>
      </c>
      <c r="F28" s="2">
        <v>6301.66</v>
      </c>
      <c r="G28" s="13">
        <f t="shared" si="0"/>
        <v>3702</v>
      </c>
      <c r="H28" s="2">
        <f t="shared" si="3"/>
        <v>8066.65</v>
      </c>
    </row>
    <row r="29" spans="1:8" x14ac:dyDescent="0.2">
      <c r="A29" s="2" t="s">
        <v>25</v>
      </c>
      <c r="B29" s="3"/>
      <c r="C29" s="13">
        <f>193+965</f>
        <v>1158</v>
      </c>
      <c r="D29" s="2">
        <v>2523.2800000000002</v>
      </c>
      <c r="E29" s="13">
        <f>481+2038</f>
        <v>2519</v>
      </c>
      <c r="F29" s="2">
        <v>5488.89</v>
      </c>
      <c r="G29" s="13">
        <f t="shared" si="0"/>
        <v>3677</v>
      </c>
      <c r="H29" s="2">
        <f t="shared" si="3"/>
        <v>8012.17</v>
      </c>
    </row>
    <row r="30" spans="1:8" x14ac:dyDescent="0.2">
      <c r="A30" s="2" t="s">
        <v>26</v>
      </c>
      <c r="B30" s="3"/>
      <c r="C30" s="13">
        <f>42+24+1680-C48</f>
        <v>1129</v>
      </c>
      <c r="D30" s="2">
        <v>2460.08</v>
      </c>
      <c r="E30" s="13">
        <f>469+35+4385-E48</f>
        <v>3630</v>
      </c>
      <c r="F30" s="2">
        <v>7909.75</v>
      </c>
      <c r="G30" s="13">
        <f t="shared" si="0"/>
        <v>4759</v>
      </c>
      <c r="H30" s="2">
        <f t="shared" si="3"/>
        <v>10369.83</v>
      </c>
    </row>
    <row r="31" spans="1:8" x14ac:dyDescent="0.2">
      <c r="A31" s="2" t="s">
        <v>27</v>
      </c>
      <c r="B31" s="3"/>
      <c r="C31" s="13">
        <f>40+223+641+179</f>
        <v>1083</v>
      </c>
      <c r="D31" s="2">
        <v>2359.85</v>
      </c>
      <c r="E31" s="13">
        <f>865+342+1661+357</f>
        <v>3225</v>
      </c>
      <c r="F31" s="2">
        <v>7027.26</v>
      </c>
      <c r="G31" s="13">
        <f t="shared" si="0"/>
        <v>4308</v>
      </c>
      <c r="H31" s="2">
        <f t="shared" si="3"/>
        <v>9387.11</v>
      </c>
    </row>
    <row r="32" spans="1:8" x14ac:dyDescent="0.2">
      <c r="A32" s="2" t="s">
        <v>28</v>
      </c>
      <c r="B32" s="3"/>
      <c r="C32" s="13">
        <v>197</v>
      </c>
      <c r="D32" s="2">
        <v>429.26</v>
      </c>
      <c r="E32" s="13">
        <v>512</v>
      </c>
      <c r="F32" s="2">
        <v>1115.6500000000001</v>
      </c>
      <c r="G32" s="13">
        <f t="shared" si="0"/>
        <v>709</v>
      </c>
      <c r="H32" s="2">
        <f t="shared" si="3"/>
        <v>1544.91</v>
      </c>
    </row>
    <row r="33" spans="1:8" x14ac:dyDescent="0.2">
      <c r="A33" s="2" t="s">
        <v>29</v>
      </c>
      <c r="B33" s="3"/>
      <c r="C33" s="13">
        <f>113+345</f>
        <v>458</v>
      </c>
      <c r="D33" s="2">
        <v>997.98</v>
      </c>
      <c r="E33" s="13">
        <f>901+557</f>
        <v>1458</v>
      </c>
      <c r="F33" s="2">
        <v>3176.98</v>
      </c>
      <c r="G33" s="13">
        <f t="shared" si="0"/>
        <v>1916</v>
      </c>
      <c r="H33" s="2">
        <f t="shared" si="3"/>
        <v>4174.96</v>
      </c>
    </row>
    <row r="34" spans="1:8" x14ac:dyDescent="0.2">
      <c r="A34" s="2" t="s">
        <v>30</v>
      </c>
      <c r="B34" s="3"/>
      <c r="C34" s="13">
        <f>126+378</f>
        <v>504</v>
      </c>
      <c r="D34" s="2">
        <v>1098.21</v>
      </c>
      <c r="E34" s="13">
        <f>1417+1982</f>
        <v>3399</v>
      </c>
      <c r="F34" s="2">
        <v>7406.41</v>
      </c>
      <c r="G34" s="13">
        <f t="shared" si="0"/>
        <v>3903</v>
      </c>
      <c r="H34" s="2">
        <f t="shared" si="3"/>
        <v>8504.619999999999</v>
      </c>
    </row>
    <row r="35" spans="1:8" x14ac:dyDescent="0.2">
      <c r="A35" s="2" t="s">
        <v>31</v>
      </c>
      <c r="B35" s="3"/>
      <c r="C35" s="13">
        <v>796</v>
      </c>
      <c r="D35" s="2">
        <v>1734.48</v>
      </c>
      <c r="E35" s="13">
        <f>2599+2760</f>
        <v>5359</v>
      </c>
      <c r="F35" s="2">
        <v>11677.24</v>
      </c>
      <c r="G35" s="13">
        <f t="shared" si="0"/>
        <v>6155</v>
      </c>
      <c r="H35" s="2">
        <f t="shared" si="3"/>
        <v>13411.72</v>
      </c>
    </row>
    <row r="36" spans="1:8" x14ac:dyDescent="0.2">
      <c r="A36" s="2" t="s">
        <v>32</v>
      </c>
      <c r="B36" s="3"/>
      <c r="C36" s="13">
        <v>281</v>
      </c>
      <c r="D36" s="2">
        <v>612.29999999999995</v>
      </c>
      <c r="E36" s="13">
        <v>940</v>
      </c>
      <c r="F36" s="2">
        <v>2048.2600000000002</v>
      </c>
      <c r="G36" s="13">
        <f t="shared" si="0"/>
        <v>1221</v>
      </c>
      <c r="H36" s="2">
        <f t="shared" si="3"/>
        <v>2660.5600000000004</v>
      </c>
    </row>
    <row r="37" spans="1:8" x14ac:dyDescent="0.2">
      <c r="A37" s="2" t="s">
        <v>33</v>
      </c>
      <c r="B37" s="3"/>
      <c r="C37" s="13">
        <f>694+273</f>
        <v>967</v>
      </c>
      <c r="D37" s="2">
        <v>2107.09</v>
      </c>
      <c r="E37" s="13">
        <f>2423+1401</f>
        <v>3824</v>
      </c>
      <c r="F37" s="2">
        <v>8332.48</v>
      </c>
      <c r="G37" s="13">
        <f t="shared" si="0"/>
        <v>4791</v>
      </c>
      <c r="H37" s="2">
        <f t="shared" si="3"/>
        <v>10439.57</v>
      </c>
    </row>
    <row r="38" spans="1:8" x14ac:dyDescent="0.2">
      <c r="A38" s="2" t="s">
        <v>34</v>
      </c>
      <c r="B38" s="3"/>
      <c r="C38" s="13">
        <f>33+1+719+244+2</f>
        <v>999</v>
      </c>
      <c r="D38" s="2">
        <v>2176.8200000000002</v>
      </c>
      <c r="E38" s="13">
        <f>26+115+2604+2220+266</f>
        <v>5231</v>
      </c>
      <c r="F38" s="2">
        <v>11398.32</v>
      </c>
      <c r="G38" s="13">
        <f t="shared" si="0"/>
        <v>6230</v>
      </c>
      <c r="H38" s="2">
        <f t="shared" si="3"/>
        <v>13575.14</v>
      </c>
    </row>
    <row r="39" spans="1:8" x14ac:dyDescent="0.2">
      <c r="A39" s="2" t="s">
        <v>35</v>
      </c>
      <c r="B39" s="3"/>
      <c r="C39" s="13">
        <v>97</v>
      </c>
      <c r="D39" s="2">
        <v>211.36</v>
      </c>
      <c r="E39" s="13">
        <v>640</v>
      </c>
      <c r="F39" s="2">
        <v>1394.56</v>
      </c>
      <c r="G39" s="13">
        <f t="shared" si="0"/>
        <v>737</v>
      </c>
      <c r="H39" s="2">
        <f t="shared" si="3"/>
        <v>1605.92</v>
      </c>
    </row>
    <row r="40" spans="1:8" ht="15" x14ac:dyDescent="0.25">
      <c r="A40" s="5" t="s">
        <v>18</v>
      </c>
      <c r="B40" s="6"/>
      <c r="C40" s="14">
        <f t="shared" ref="C40:H40" si="4">SUM(C23:C39)</f>
        <v>13003</v>
      </c>
      <c r="D40" s="6">
        <f t="shared" si="4"/>
        <v>28333.489999999994</v>
      </c>
      <c r="E40" s="14">
        <f t="shared" si="4"/>
        <v>45155</v>
      </c>
      <c r="F40" s="6">
        <f t="shared" si="4"/>
        <v>98392.56</v>
      </c>
      <c r="G40" s="17">
        <f t="shared" si="4"/>
        <v>58158</v>
      </c>
      <c r="H40" s="6">
        <f t="shared" si="4"/>
        <v>126726.04999999999</v>
      </c>
    </row>
    <row r="41" spans="1:8" x14ac:dyDescent="0.2">
      <c r="A41" s="2" t="s">
        <v>36</v>
      </c>
      <c r="B41" s="3"/>
      <c r="C41" s="13">
        <f>79+6+38</f>
        <v>123</v>
      </c>
      <c r="D41" s="2">
        <v>268.01</v>
      </c>
      <c r="E41" s="13">
        <f>140+8+190</f>
        <v>338</v>
      </c>
      <c r="F41" s="2">
        <v>736.5</v>
      </c>
      <c r="G41" s="13">
        <f t="shared" si="0"/>
        <v>461</v>
      </c>
      <c r="H41" s="2">
        <f>D41+F41</f>
        <v>1004.51</v>
      </c>
    </row>
    <row r="42" spans="1:8" x14ac:dyDescent="0.2">
      <c r="A42" s="2" t="s">
        <v>37</v>
      </c>
      <c r="B42" s="3"/>
      <c r="C42" s="13">
        <f>281+30</f>
        <v>311</v>
      </c>
      <c r="D42" s="2">
        <v>677.67</v>
      </c>
      <c r="E42" s="13">
        <f>9+10+202+25+12+848</f>
        <v>1106</v>
      </c>
      <c r="F42" s="2">
        <v>2409.9699999999998</v>
      </c>
      <c r="G42" s="13">
        <f t="shared" si="0"/>
        <v>1417</v>
      </c>
      <c r="H42" s="2">
        <f>D42+F42</f>
        <v>3087.64</v>
      </c>
    </row>
    <row r="43" spans="1:8" ht="15" x14ac:dyDescent="0.25">
      <c r="A43" s="5" t="s">
        <v>18</v>
      </c>
      <c r="B43" s="6"/>
      <c r="C43" s="14">
        <f t="shared" ref="C43:H43" si="5">SUM(C41:C42)</f>
        <v>434</v>
      </c>
      <c r="D43" s="6">
        <f t="shared" si="5"/>
        <v>945.68</v>
      </c>
      <c r="E43" s="14">
        <f t="shared" si="5"/>
        <v>1444</v>
      </c>
      <c r="F43" s="6">
        <f t="shared" si="5"/>
        <v>3146.47</v>
      </c>
      <c r="G43" s="17">
        <f t="shared" si="5"/>
        <v>1878</v>
      </c>
      <c r="H43" s="6">
        <f t="shared" si="5"/>
        <v>4092.1499999999996</v>
      </c>
    </row>
    <row r="44" spans="1:8" ht="15" x14ac:dyDescent="0.25">
      <c r="A44" s="5" t="s">
        <v>50</v>
      </c>
      <c r="B44" s="6"/>
      <c r="C44" s="14">
        <v>3</v>
      </c>
      <c r="D44" s="6">
        <v>6.54</v>
      </c>
      <c r="E44" s="17">
        <v>827</v>
      </c>
      <c r="F44" s="6">
        <v>1802.03</v>
      </c>
      <c r="G44" s="17">
        <f t="shared" ref="G44:H46" si="6">C44+E44</f>
        <v>830</v>
      </c>
      <c r="H44" s="6">
        <f t="shared" si="6"/>
        <v>1808.57</v>
      </c>
    </row>
    <row r="45" spans="1:8" x14ac:dyDescent="0.2">
      <c r="A45" s="2" t="s">
        <v>38</v>
      </c>
      <c r="B45" s="3"/>
      <c r="C45" s="13">
        <v>331</v>
      </c>
      <c r="D45" s="2">
        <v>721.25</v>
      </c>
      <c r="E45" s="13">
        <v>451</v>
      </c>
      <c r="F45" s="2">
        <v>982.73</v>
      </c>
      <c r="G45" s="13">
        <f t="shared" si="6"/>
        <v>782</v>
      </c>
      <c r="H45" s="2">
        <f t="shared" si="6"/>
        <v>1703.98</v>
      </c>
    </row>
    <row r="46" spans="1:8" x14ac:dyDescent="0.2">
      <c r="A46" s="2" t="s">
        <v>39</v>
      </c>
      <c r="B46" s="3"/>
      <c r="C46" s="13">
        <f>91+49</f>
        <v>140</v>
      </c>
      <c r="D46" s="2">
        <v>305.06</v>
      </c>
      <c r="E46" s="13">
        <f>197+220</f>
        <v>417</v>
      </c>
      <c r="F46" s="2">
        <v>908.64</v>
      </c>
      <c r="G46" s="13">
        <f t="shared" si="6"/>
        <v>557</v>
      </c>
      <c r="H46" s="2">
        <f t="shared" si="6"/>
        <v>1213.7</v>
      </c>
    </row>
    <row r="47" spans="1:8" ht="15" x14ac:dyDescent="0.25">
      <c r="A47" s="5" t="s">
        <v>18</v>
      </c>
      <c r="B47" s="6"/>
      <c r="C47" s="14">
        <f t="shared" ref="C47:H47" si="7">SUM(C45:C46)</f>
        <v>471</v>
      </c>
      <c r="D47" s="6">
        <f t="shared" si="7"/>
        <v>1026.31</v>
      </c>
      <c r="E47" s="14">
        <f t="shared" si="7"/>
        <v>868</v>
      </c>
      <c r="F47" s="6">
        <f t="shared" si="7"/>
        <v>1891.37</v>
      </c>
      <c r="G47" s="17">
        <f t="shared" si="7"/>
        <v>1339</v>
      </c>
      <c r="H47" s="6">
        <f t="shared" si="7"/>
        <v>2917.6800000000003</v>
      </c>
    </row>
    <row r="48" spans="1:8" ht="15" x14ac:dyDescent="0.25">
      <c r="A48" s="5" t="s">
        <v>51</v>
      </c>
      <c r="B48" s="6"/>
      <c r="C48" s="14">
        <v>617</v>
      </c>
      <c r="D48" s="6">
        <v>1344.44</v>
      </c>
      <c r="E48" s="17">
        <v>1259</v>
      </c>
      <c r="F48" s="6">
        <v>2743.36</v>
      </c>
      <c r="G48" s="17">
        <f>C48+E48</f>
        <v>1876</v>
      </c>
      <c r="H48" s="6">
        <f>D48+F48</f>
        <v>4087.8</v>
      </c>
    </row>
    <row r="49" spans="1:8" s="11" customFormat="1" ht="15.75" x14ac:dyDescent="0.25">
      <c r="A49" s="9" t="s">
        <v>49</v>
      </c>
      <c r="B49" s="10">
        <f t="shared" ref="B49:H49" si="8">B22+B40+B43+B44+B47+B48</f>
        <v>0</v>
      </c>
      <c r="C49" s="15">
        <f t="shared" si="8"/>
        <v>25999</v>
      </c>
      <c r="D49" s="10">
        <f t="shared" si="8"/>
        <v>56651.72</v>
      </c>
      <c r="E49" s="15">
        <f t="shared" si="8"/>
        <v>91326</v>
      </c>
      <c r="F49" s="10">
        <f t="shared" si="8"/>
        <v>198998.99</v>
      </c>
      <c r="G49" s="18">
        <f t="shared" si="8"/>
        <v>117325</v>
      </c>
      <c r="H49" s="10">
        <f t="shared" si="8"/>
        <v>255650.71</v>
      </c>
    </row>
  </sheetData>
  <mergeCells count="2">
    <mergeCell ref="G2:H2"/>
    <mergeCell ref="C2:F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2273 розподіл</vt:lpstr>
      <vt:lpstr>2273 Хмельницькенергозбут</vt:lpstr>
      <vt:lpstr>2273 ЕКОТЕХНОІНВЕСТ</vt:lpstr>
      <vt:lpstr>2273 Енергогазрезерв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2021-07-28T08:34:15Z</dcterms:modified>
</cp:coreProperties>
</file>